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risztina\Documents\Kari Tanács\Kari Tanács 2020-21\2021. április 8\"/>
    </mc:Choice>
  </mc:AlternateContent>
  <xr:revisionPtr revIDLastSave="0" documentId="8_{2B4BCCA7-1D5B-4643-BD9B-6860BEB801D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 kari allokáció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M6" i="2"/>
  <c r="M4" i="2"/>
  <c r="F6" i="2" l="1"/>
  <c r="F10" i="2"/>
  <c r="F4" i="2"/>
  <c r="W13" i="2" l="1"/>
  <c r="R15" i="2"/>
  <c r="S13" i="2"/>
  <c r="R13" i="2"/>
  <c r="O13" i="2"/>
  <c r="L13" i="2"/>
  <c r="I13" i="2"/>
  <c r="W11" i="2"/>
  <c r="Y6" i="2" s="1"/>
  <c r="U11" i="2"/>
  <c r="P11" i="2"/>
  <c r="Q10" i="2" s="1"/>
  <c r="M11" i="2"/>
  <c r="N5" i="2" s="1"/>
  <c r="J11" i="2"/>
  <c r="K9" i="2" s="1"/>
  <c r="F11" i="2"/>
  <c r="E11" i="2"/>
  <c r="B11" i="2"/>
  <c r="C8" i="2" s="1"/>
  <c r="Y10" i="2"/>
  <c r="G10" i="2"/>
  <c r="G9" i="2"/>
  <c r="G8" i="2"/>
  <c r="G7" i="2"/>
  <c r="G6" i="2"/>
  <c r="G5" i="2"/>
  <c r="G4" i="2"/>
  <c r="G3" i="2"/>
  <c r="Y8" i="2" l="1"/>
  <c r="Y3" i="2"/>
  <c r="N6" i="2"/>
  <c r="N10" i="2"/>
  <c r="O3" i="2"/>
  <c r="O6" i="2"/>
  <c r="Y9" i="2"/>
  <c r="K7" i="2"/>
  <c r="K10" i="2"/>
  <c r="K5" i="2"/>
  <c r="K3" i="2"/>
  <c r="K6" i="2"/>
  <c r="C5" i="2"/>
  <c r="C7" i="2"/>
  <c r="C6" i="2"/>
  <c r="C3" i="2"/>
  <c r="C9" i="2"/>
  <c r="Q9" i="2"/>
  <c r="R10" i="2"/>
  <c r="C10" i="2"/>
  <c r="O7" i="2"/>
  <c r="G11" i="2"/>
  <c r="H6" i="2" s="1"/>
  <c r="Q4" i="2"/>
  <c r="R5" i="2"/>
  <c r="Y7" i="2"/>
  <c r="Q8" i="2"/>
  <c r="C4" i="2"/>
  <c r="Y4" i="2"/>
  <c r="Y5" i="2"/>
  <c r="O9" i="2"/>
  <c r="Z13" i="2"/>
  <c r="K4" i="2"/>
  <c r="K8" i="2"/>
  <c r="D11" i="2"/>
  <c r="Q3" i="2"/>
  <c r="R4" i="2"/>
  <c r="Q7" i="2"/>
  <c r="R8" i="2"/>
  <c r="R9" i="2"/>
  <c r="R3" i="2"/>
  <c r="N4" i="2"/>
  <c r="O5" i="2"/>
  <c r="Q6" i="2"/>
  <c r="R7" i="2"/>
  <c r="N8" i="2"/>
  <c r="N9" i="2"/>
  <c r="O10" i="2"/>
  <c r="N3" i="2"/>
  <c r="O4" i="2"/>
  <c r="Q5" i="2"/>
  <c r="R6" i="2"/>
  <c r="N7" i="2"/>
  <c r="O8" i="2"/>
  <c r="I4" i="2" l="1"/>
  <c r="H10" i="2"/>
  <c r="I3" i="2"/>
  <c r="I7" i="2"/>
  <c r="H4" i="2"/>
  <c r="H5" i="2"/>
  <c r="I6" i="2"/>
  <c r="H8" i="2"/>
  <c r="I9" i="2"/>
  <c r="K11" i="2"/>
  <c r="L3" i="2" s="1"/>
  <c r="S3" i="2" s="1"/>
  <c r="H3" i="2"/>
  <c r="I10" i="2"/>
  <c r="H7" i="2"/>
  <c r="I8" i="2"/>
  <c r="H9" i="2"/>
  <c r="I5" i="2"/>
  <c r="Y11" i="2"/>
  <c r="C11" i="2"/>
  <c r="N11" i="2"/>
  <c r="O11" i="2"/>
  <c r="R11" i="2"/>
  <c r="Q11" i="2"/>
  <c r="I11" i="2" l="1"/>
  <c r="H11" i="2"/>
  <c r="L9" i="2"/>
  <c r="S9" i="2" s="1"/>
  <c r="L8" i="2"/>
  <c r="S8" i="2" s="1"/>
  <c r="L5" i="2"/>
  <c r="S5" i="2" s="1"/>
  <c r="L10" i="2"/>
  <c r="S10" i="2" s="1"/>
  <c r="L6" i="2"/>
  <c r="S6" i="2" s="1"/>
  <c r="L4" i="2"/>
  <c r="S4" i="2" s="1"/>
  <c r="L7" i="2"/>
  <c r="S7" i="2" s="1"/>
  <c r="S11" i="2" l="1"/>
  <c r="T5" i="2" s="1"/>
  <c r="V5" i="2" s="1"/>
  <c r="L11" i="2"/>
  <c r="T8" i="2" l="1"/>
  <c r="X8" i="2" s="1"/>
  <c r="Z8" i="2" s="1"/>
  <c r="T4" i="2"/>
  <c r="V4" i="2" s="1"/>
  <c r="X5" i="2"/>
  <c r="Z5" i="2" s="1"/>
  <c r="AA5" i="2" s="1"/>
  <c r="T9" i="2"/>
  <c r="V9" i="2" s="1"/>
  <c r="T6" i="2"/>
  <c r="X6" i="2" s="1"/>
  <c r="Z6" i="2" s="1"/>
  <c r="T7" i="2"/>
  <c r="X7" i="2" s="1"/>
  <c r="Z7" i="2" s="1"/>
  <c r="T3" i="2"/>
  <c r="V3" i="2" s="1"/>
  <c r="T10" i="2"/>
  <c r="X10" i="2" s="1"/>
  <c r="Z10" i="2" s="1"/>
  <c r="V8" i="2" l="1"/>
  <c r="AA8" i="2" s="1"/>
  <c r="V10" i="2"/>
  <c r="AA10" i="2" s="1"/>
  <c r="X4" i="2"/>
  <c r="Z4" i="2" s="1"/>
  <c r="AA4" i="2" s="1"/>
  <c r="AB4" i="2" s="1"/>
  <c r="X9" i="2"/>
  <c r="Z9" i="2" s="1"/>
  <c r="AA9" i="2" s="1"/>
  <c r="V7" i="2"/>
  <c r="AA7" i="2" s="1"/>
  <c r="V6" i="2"/>
  <c r="AA6" i="2" s="1"/>
  <c r="T11" i="2"/>
  <c r="X3" i="2"/>
  <c r="Z3" i="2" s="1"/>
  <c r="AA3" i="2" s="1"/>
  <c r="AB5" i="2"/>
  <c r="AA12" i="2" l="1"/>
  <c r="AB9" i="2"/>
  <c r="AB3" i="2"/>
  <c r="AB6" i="2"/>
  <c r="V11" i="2"/>
  <c r="X11" i="2"/>
  <c r="Z11" i="2"/>
  <c r="AD4" i="2"/>
  <c r="AH4" i="2" s="1"/>
  <c r="AB10" i="2"/>
  <c r="AA11" i="2"/>
  <c r="AD7" i="2"/>
  <c r="AB7" i="2"/>
  <c r="AB8" i="2"/>
  <c r="AE4" i="2" l="1"/>
  <c r="AH7" i="2"/>
  <c r="AE7" i="2"/>
  <c r="D14" i="2"/>
  <c r="AC13" i="2"/>
  <c r="AD13" i="2" s="1"/>
  <c r="AC3" i="2" s="1"/>
  <c r="AC8" i="2" l="1"/>
  <c r="AD8" i="2" s="1"/>
  <c r="AE8" i="2" s="1"/>
  <c r="AC6" i="2"/>
  <c r="AD6" i="2" s="1"/>
  <c r="AE6" i="2" s="1"/>
  <c r="AC14" i="2"/>
  <c r="R16" i="2" s="1"/>
  <c r="AC9" i="2"/>
  <c r="AD9" i="2" s="1"/>
  <c r="AC10" i="2"/>
  <c r="AD10" i="2" s="1"/>
  <c r="AC5" i="2"/>
  <c r="AD5" i="2" s="1"/>
  <c r="AH8" i="2" l="1"/>
  <c r="AH6" i="2"/>
  <c r="AE9" i="2"/>
  <c r="AH9" i="2"/>
  <c r="AE5" i="2"/>
  <c r="AH5" i="2"/>
  <c r="AH10" i="2"/>
  <c r="AE10" i="2"/>
  <c r="AD3" i="2"/>
  <c r="AC11" i="2"/>
  <c r="AC15" i="2" s="1"/>
  <c r="AE3" i="2" l="1"/>
  <c r="AH3" i="2"/>
  <c r="AH11" i="2" s="1"/>
  <c r="AD11" i="2"/>
  <c r="AF4" i="2" l="1"/>
  <c r="AG4" i="2" s="1"/>
  <c r="AF7" i="2"/>
  <c r="AG7" i="2" s="1"/>
  <c r="AF8" i="2"/>
  <c r="AG8" i="2" s="1"/>
  <c r="AF6" i="2"/>
  <c r="AG6" i="2" s="1"/>
  <c r="AF10" i="2"/>
  <c r="AG10" i="2" s="1"/>
  <c r="AF9" i="2"/>
  <c r="AG9" i="2" s="1"/>
  <c r="AF5" i="2"/>
  <c r="AG5" i="2" s="1"/>
  <c r="AF3" i="2"/>
  <c r="AG3" i="2" l="1"/>
  <c r="AF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Nagyj</author>
  </authors>
  <commentList>
    <comment ref="D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Nagyj:</t>
        </r>
        <r>
          <rPr>
            <sz val="9"/>
            <color indexed="81"/>
            <rFont val="Tahoma"/>
            <family val="2"/>
            <charset val="238"/>
          </rPr>
          <t xml:space="preserve">
Maradt a főösszeg 5,15%-a, nominálisan csökkent
</t>
        </r>
      </text>
    </comment>
    <comment ref="V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Nagyj:</t>
        </r>
        <r>
          <rPr>
            <sz val="9"/>
            <color indexed="81"/>
            <rFont val="Tahoma"/>
            <family val="2"/>
            <charset val="238"/>
          </rPr>
          <t xml:space="preserve">
1,5 MFt-ről 1,35 MFt-ra csökkentve</t>
        </r>
      </text>
    </comment>
  </commentList>
</comments>
</file>

<file path=xl/sharedStrings.xml><?xml version="1.0" encoding="utf-8"?>
<sst xmlns="http://schemas.openxmlformats.org/spreadsheetml/2006/main" count="50" uniqueCount="47">
  <si>
    <t>ÉMK</t>
  </si>
  <si>
    <t>GPK</t>
  </si>
  <si>
    <t>ÉPK</t>
  </si>
  <si>
    <t>VBK</t>
  </si>
  <si>
    <t>VIK</t>
  </si>
  <si>
    <t>KJK</t>
  </si>
  <si>
    <t>GTK</t>
  </si>
  <si>
    <t>TTK</t>
  </si>
  <si>
    <t>Összesen</t>
  </si>
  <si>
    <t>Spec.tám.</t>
  </si>
  <si>
    <t>PhD hallg</t>
  </si>
  <si>
    <t>DP</t>
  </si>
  <si>
    <t>PhD védés</t>
  </si>
  <si>
    <t>keret</t>
  </si>
  <si>
    <t>támogatás</t>
  </si>
  <si>
    <t>Ezer Ft</t>
  </si>
  <si>
    <t>PhD keret</t>
  </si>
  <si>
    <t>KOA</t>
  </si>
  <si>
    <t>KP</t>
  </si>
  <si>
    <t>C összes</t>
  </si>
  <si>
    <t>KTA</t>
  </si>
  <si>
    <t>C keret</t>
  </si>
  <si>
    <t>B keret</t>
  </si>
  <si>
    <t>TAK</t>
  </si>
  <si>
    <t>Bevétel</t>
  </si>
  <si>
    <t>KBA</t>
  </si>
  <si>
    <t>ÖAK</t>
  </si>
  <si>
    <t>Egyenlítés</t>
  </si>
  <si>
    <t>Eredmény</t>
  </si>
  <si>
    <t>Arány</t>
  </si>
  <si>
    <t>B:0,9*0,04</t>
  </si>
  <si>
    <t>C1 keret</t>
  </si>
  <si>
    <t>C2 keret</t>
  </si>
  <si>
    <t>Oktatási terhelés</t>
  </si>
  <si>
    <t>Oktatói kiválóság</t>
  </si>
  <si>
    <t>Saját állami tám. Hallgató</t>
  </si>
  <si>
    <t>C3 keret</t>
  </si>
  <si>
    <t>Terület korrekció</t>
  </si>
  <si>
    <t>Önköltséges oktatási korr.</t>
  </si>
  <si>
    <t>A+B+C</t>
  </si>
  <si>
    <t>0,84*0,664</t>
  </si>
  <si>
    <t>A1 keret</t>
  </si>
  <si>
    <t>A2 keret</t>
  </si>
  <si>
    <t>Kiegyensúlyozott módosítás</t>
  </si>
  <si>
    <t>Osztható még:</t>
  </si>
  <si>
    <t>2021/20</t>
  </si>
  <si>
    <t>2021-20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</si>
</sst>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1" xfId="0" applyBorder="1"/>
    <xf numFmtId="3" fontId="0" fillId="0" borderId="1" xfId="0" applyNumberFormat="1" applyBorder="1"/>
    <xf numFmtId="10" fontId="0" fillId="0" borderId="1" xfId="1" applyNumberFormat="1" applyFont="1" applyBorder="1"/>
    <xf numFmtId="0" fontId="0" fillId="0" borderId="0" xfId="0" applyBorder="1"/>
    <xf numFmtId="4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4" xfId="0" applyBorder="1"/>
    <xf numFmtId="3" fontId="0" fillId="0" borderId="4" xfId="0" applyNumberFormat="1" applyBorder="1"/>
    <xf numFmtId="10" fontId="0" fillId="0" borderId="4" xfId="1" applyNumberFormat="1" applyFont="1" applyBorder="1"/>
    <xf numFmtId="4" fontId="0" fillId="3" borderId="1" xfId="0" applyNumberFormat="1" applyFill="1" applyBorder="1"/>
    <xf numFmtId="4" fontId="0" fillId="3" borderId="4" xfId="0" applyNumberFormat="1" applyFill="1" applyBorder="1"/>
    <xf numFmtId="0" fontId="0" fillId="3" borderId="1" xfId="0" applyFill="1" applyBorder="1"/>
    <xf numFmtId="4" fontId="0" fillId="3" borderId="2" xfId="0" applyNumberFormat="1" applyFill="1" applyBorder="1"/>
    <xf numFmtId="0" fontId="0" fillId="4" borderId="1" xfId="0" applyFill="1" applyBorder="1"/>
    <xf numFmtId="0" fontId="0" fillId="0" borderId="6" xfId="0" applyBorder="1"/>
    <xf numFmtId="0" fontId="0" fillId="2" borderId="9" xfId="0" applyFill="1" applyBorder="1"/>
    <xf numFmtId="0" fontId="0" fillId="2" borderId="10" xfId="0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2" borderId="12" xfId="0" applyNumberFormat="1" applyFill="1" applyBorder="1"/>
    <xf numFmtId="0" fontId="0" fillId="3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4" fontId="0" fillId="3" borderId="15" xfId="0" applyNumberFormat="1" applyFill="1" applyBorder="1"/>
    <xf numFmtId="3" fontId="0" fillId="2" borderId="16" xfId="0" applyNumberFormat="1" applyFill="1" applyBorder="1"/>
    <xf numFmtId="4" fontId="0" fillId="3" borderId="17" xfId="0" applyNumberFormat="1" applyFill="1" applyBorder="1"/>
    <xf numFmtId="3" fontId="0" fillId="2" borderId="18" xfId="0" applyNumberFormat="1" applyFill="1" applyBorder="1"/>
    <xf numFmtId="4" fontId="0" fillId="3" borderId="19" xfId="0" applyNumberFormat="1" applyFill="1" applyBorder="1"/>
    <xf numFmtId="3" fontId="0" fillId="2" borderId="20" xfId="0" applyNumberFormat="1" applyFill="1" applyBorder="1"/>
    <xf numFmtId="0" fontId="0" fillId="0" borderId="15" xfId="0" applyBorder="1"/>
    <xf numFmtId="0" fontId="0" fillId="0" borderId="21" xfId="0" applyBorder="1"/>
    <xf numFmtId="0" fontId="0" fillId="0" borderId="22" xfId="0" applyBorder="1"/>
    <xf numFmtId="10" fontId="0" fillId="3" borderId="1" xfId="0" applyNumberFormat="1" applyFill="1" applyBorder="1"/>
    <xf numFmtId="10" fontId="0" fillId="3" borderId="4" xfId="0" applyNumberFormat="1" applyFill="1" applyBorder="1"/>
    <xf numFmtId="10" fontId="0" fillId="3" borderId="2" xfId="1" applyNumberFormat="1" applyFont="1" applyFill="1" applyBorder="1"/>
    <xf numFmtId="10" fontId="0" fillId="4" borderId="1" xfId="1" applyNumberFormat="1" applyFont="1" applyFill="1" applyBorder="1"/>
    <xf numFmtId="10" fontId="0" fillId="4" borderId="4" xfId="1" applyNumberFormat="1" applyFont="1" applyFill="1" applyBorder="1"/>
    <xf numFmtId="10" fontId="0" fillId="4" borderId="2" xfId="1" applyNumberFormat="1" applyFont="1" applyFill="1" applyBorder="1"/>
    <xf numFmtId="164" fontId="3" fillId="0" borderId="5" xfId="0" applyNumberFormat="1" applyFont="1" applyBorder="1"/>
    <xf numFmtId="0" fontId="0" fillId="0" borderId="23" xfId="0" applyBorder="1"/>
    <xf numFmtId="0" fontId="0" fillId="0" borderId="24" xfId="0" applyBorder="1"/>
    <xf numFmtId="3" fontId="0" fillId="3" borderId="15" xfId="0" applyNumberFormat="1" applyFill="1" applyBorder="1"/>
    <xf numFmtId="3" fontId="0" fillId="3" borderId="17" xfId="0" applyNumberFormat="1" applyFill="1" applyBorder="1"/>
    <xf numFmtId="3" fontId="0" fillId="3" borderId="19" xfId="0" applyNumberForma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6" borderId="15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/>
    <xf numFmtId="3" fontId="0" fillId="6" borderId="1" xfId="0" applyNumberFormat="1" applyFill="1" applyBorder="1"/>
    <xf numFmtId="3" fontId="0" fillId="6" borderId="4" xfId="0" applyNumberFormat="1" applyFill="1" applyBorder="1"/>
    <xf numFmtId="10" fontId="3" fillId="0" borderId="5" xfId="0" applyNumberFormat="1" applyFont="1" applyBorder="1"/>
    <xf numFmtId="0" fontId="0" fillId="2" borderId="29" xfId="0" applyFill="1" applyBorder="1"/>
    <xf numFmtId="3" fontId="0" fillId="2" borderId="29" xfId="0" applyNumberFormat="1" applyFill="1" applyBorder="1"/>
    <xf numFmtId="3" fontId="0" fillId="2" borderId="30" xfId="0" applyNumberFormat="1" applyFill="1" applyBorder="1"/>
    <xf numFmtId="3" fontId="0" fillId="2" borderId="28" xfId="0" applyNumberFormat="1" applyFill="1" applyBorder="1"/>
    <xf numFmtId="0" fontId="0" fillId="0" borderId="32" xfId="0" applyBorder="1"/>
    <xf numFmtId="10" fontId="0" fillId="0" borderId="6" xfId="1" applyNumberFormat="1" applyFont="1" applyBorder="1"/>
    <xf numFmtId="10" fontId="0" fillId="0" borderId="7" xfId="1" applyNumberFormat="1" applyFont="1" applyBorder="1"/>
    <xf numFmtId="10" fontId="0" fillId="0" borderId="8" xfId="0" applyNumberFormat="1" applyBorder="1"/>
    <xf numFmtId="0" fontId="0" fillId="0" borderId="3" xfId="0" applyBorder="1"/>
    <xf numFmtId="10" fontId="0" fillId="4" borderId="8" xfId="1" applyNumberFormat="1" applyFont="1" applyFill="1" applyBorder="1"/>
    <xf numFmtId="3" fontId="0" fillId="5" borderId="16" xfId="0" applyNumberFormat="1" applyFill="1" applyBorder="1"/>
    <xf numFmtId="3" fontId="0" fillId="5" borderId="18" xfId="0" applyNumberFormat="1" applyFill="1" applyBorder="1"/>
    <xf numFmtId="3" fontId="0" fillId="5" borderId="20" xfId="0" applyNumberFormat="1" applyFill="1" applyBorder="1"/>
    <xf numFmtId="0" fontId="0" fillId="5" borderId="14" xfId="0" applyFill="1" applyBorder="1"/>
    <xf numFmtId="0" fontId="0" fillId="2" borderId="40" xfId="0" applyFill="1" applyBorder="1"/>
    <xf numFmtId="0" fontId="0" fillId="8" borderId="15" xfId="0" applyFill="1" applyBorder="1"/>
    <xf numFmtId="10" fontId="0" fillId="8" borderId="15" xfId="1" applyNumberFormat="1" applyFont="1" applyFill="1" applyBorder="1"/>
    <xf numFmtId="10" fontId="0" fillId="8" borderId="17" xfId="1" applyNumberFormat="1" applyFont="1" applyFill="1" applyBorder="1"/>
    <xf numFmtId="10" fontId="0" fillId="8" borderId="19" xfId="1" applyNumberFormat="1" applyFont="1" applyFill="1" applyBorder="1"/>
    <xf numFmtId="0" fontId="0" fillId="8" borderId="1" xfId="0" applyFill="1" applyBorder="1"/>
    <xf numFmtId="10" fontId="0" fillId="8" borderId="1" xfId="1" applyNumberFormat="1" applyFont="1" applyFill="1" applyBorder="1"/>
    <xf numFmtId="10" fontId="0" fillId="8" borderId="4" xfId="1" applyNumberFormat="1" applyFont="1" applyFill="1" applyBorder="1"/>
    <xf numFmtId="10" fontId="0" fillId="8" borderId="2" xfId="1" applyNumberFormat="1" applyFont="1" applyFill="1" applyBorder="1"/>
    <xf numFmtId="3" fontId="0" fillId="2" borderId="5" xfId="0" applyNumberFormat="1" applyFill="1" applyBorder="1"/>
    <xf numFmtId="0" fontId="0" fillId="0" borderId="42" xfId="0" applyBorder="1"/>
    <xf numFmtId="0" fontId="0" fillId="0" borderId="43" xfId="0" applyBorder="1"/>
    <xf numFmtId="3" fontId="0" fillId="0" borderId="5" xfId="0" applyNumberFormat="1" applyBorder="1"/>
    <xf numFmtId="0" fontId="0" fillId="2" borderId="44" xfId="0" applyFill="1" applyBorder="1"/>
    <xf numFmtId="0" fontId="0" fillId="2" borderId="42" xfId="0" applyFill="1" applyBorder="1"/>
    <xf numFmtId="0" fontId="0" fillId="2" borderId="45" xfId="0" applyFill="1" applyBorder="1"/>
    <xf numFmtId="0" fontId="0" fillId="0" borderId="34" xfId="0" applyBorder="1"/>
    <xf numFmtId="3" fontId="2" fillId="6" borderId="5" xfId="0" applyNumberFormat="1" applyFont="1" applyFill="1" applyBorder="1"/>
    <xf numFmtId="0" fontId="0" fillId="0" borderId="16" xfId="0" applyBorder="1" applyAlignment="1">
      <alignment horizontal="center"/>
    </xf>
    <xf numFmtId="3" fontId="0" fillId="6" borderId="15" xfId="0" applyNumberFormat="1" applyFill="1" applyBorder="1"/>
    <xf numFmtId="10" fontId="0" fillId="0" borderId="16" xfId="1" applyNumberFormat="1" applyFont="1" applyBorder="1"/>
    <xf numFmtId="3" fontId="0" fillId="6" borderId="17" xfId="0" applyNumberFormat="1" applyFill="1" applyBorder="1"/>
    <xf numFmtId="10" fontId="0" fillId="0" borderId="18" xfId="1" applyNumberFormat="1" applyFont="1" applyBorder="1"/>
    <xf numFmtId="3" fontId="0" fillId="6" borderId="47" xfId="0" applyNumberFormat="1" applyFill="1" applyBorder="1"/>
    <xf numFmtId="0" fontId="0" fillId="0" borderId="48" xfId="0" applyBorder="1"/>
    <xf numFmtId="0" fontId="0" fillId="7" borderId="15" xfId="0" applyFill="1" applyBorder="1"/>
    <xf numFmtId="3" fontId="0" fillId="7" borderId="15" xfId="0" applyNumberFormat="1" applyFill="1" applyBorder="1"/>
    <xf numFmtId="3" fontId="0" fillId="0" borderId="16" xfId="0" applyNumberFormat="1" applyBorder="1"/>
    <xf numFmtId="3" fontId="0" fillId="7" borderId="17" xfId="0" applyNumberFormat="1" applyFill="1" applyBorder="1"/>
    <xf numFmtId="3" fontId="0" fillId="0" borderId="49" xfId="0" applyNumberFormat="1" applyBorder="1"/>
    <xf numFmtId="3" fontId="0" fillId="7" borderId="47" xfId="0" applyNumberFormat="1" applyFill="1" applyBorder="1"/>
    <xf numFmtId="3" fontId="0" fillId="6" borderId="50" xfId="0" applyNumberFormat="1" applyFill="1" applyBorder="1"/>
    <xf numFmtId="10" fontId="0" fillId="4" borderId="50" xfId="1" applyNumberFormat="1" applyFont="1" applyFill="1" applyBorder="1"/>
    <xf numFmtId="3" fontId="0" fillId="0" borderId="51" xfId="1" applyNumberFormat="1" applyFont="1" applyBorder="1"/>
    <xf numFmtId="10" fontId="0" fillId="0" borderId="6" xfId="1" applyNumberFormat="1" applyFont="1" applyFill="1" applyBorder="1"/>
    <xf numFmtId="10" fontId="0" fillId="0" borderId="52" xfId="1" applyNumberFormat="1" applyFont="1" applyFill="1" applyBorder="1"/>
    <xf numFmtId="10" fontId="0" fillId="0" borderId="4" xfId="1" applyNumberFormat="1" applyFont="1" applyFill="1" applyBorder="1"/>
    <xf numFmtId="3" fontId="0" fillId="0" borderId="0" xfId="0" applyNumberFormat="1"/>
    <xf numFmtId="10" fontId="3" fillId="0" borderId="54" xfId="0" applyNumberFormat="1" applyFont="1" applyBorder="1"/>
    <xf numFmtId="3" fontId="0" fillId="0" borderId="36" xfId="0" applyNumberFormat="1" applyBorder="1"/>
    <xf numFmtId="10" fontId="0" fillId="0" borderId="0" xfId="1" applyNumberFormat="1" applyFont="1"/>
    <xf numFmtId="10" fontId="0" fillId="0" borderId="0" xfId="0" applyNumberFormat="1"/>
    <xf numFmtId="3" fontId="0" fillId="9" borderId="5" xfId="0" applyNumberFormat="1" applyFill="1" applyBorder="1"/>
    <xf numFmtId="10" fontId="0" fillId="9" borderId="5" xfId="1" applyNumberFormat="1" applyFont="1" applyFill="1" applyBorder="1"/>
    <xf numFmtId="9" fontId="0" fillId="0" borderId="0" xfId="1" applyFont="1"/>
    <xf numFmtId="0" fontId="6" fillId="0" borderId="1" xfId="0" applyFont="1" applyBorder="1"/>
    <xf numFmtId="3" fontId="6" fillId="0" borderId="1" xfId="0" applyNumberFormat="1" applyFont="1" applyBorder="1"/>
    <xf numFmtId="10" fontId="6" fillId="0" borderId="6" xfId="1" applyNumberFormat="1" applyFont="1" applyBorder="1"/>
    <xf numFmtId="3" fontId="6" fillId="2" borderId="10" xfId="0" applyNumberFormat="1" applyFont="1" applyFill="1" applyBorder="1"/>
    <xf numFmtId="4" fontId="6" fillId="3" borderId="15" xfId="0" applyNumberFormat="1" applyFont="1" applyFill="1" applyBorder="1"/>
    <xf numFmtId="4" fontId="6" fillId="3" borderId="1" xfId="0" applyNumberFormat="1" applyFont="1" applyFill="1" applyBorder="1"/>
    <xf numFmtId="10" fontId="6" fillId="4" borderId="1" xfId="1" applyNumberFormat="1" applyFont="1" applyFill="1" applyBorder="1"/>
    <xf numFmtId="3" fontId="6" fillId="2" borderId="16" xfId="0" applyNumberFormat="1" applyFont="1" applyFill="1" applyBorder="1"/>
    <xf numFmtId="3" fontId="6" fillId="5" borderId="16" xfId="0" applyNumberFormat="1" applyFont="1" applyFill="1" applyBorder="1"/>
    <xf numFmtId="3" fontId="6" fillId="3" borderId="15" xfId="0" applyNumberFormat="1" applyFont="1" applyFill="1" applyBorder="1"/>
    <xf numFmtId="3" fontId="6" fillId="2" borderId="29" xfId="0" applyNumberFormat="1" applyFont="1" applyFill="1" applyBorder="1"/>
    <xf numFmtId="10" fontId="6" fillId="8" borderId="15" xfId="1" applyNumberFormat="1" applyFont="1" applyFill="1" applyBorder="1"/>
    <xf numFmtId="9" fontId="6" fillId="3" borderId="1" xfId="0" applyNumberFormat="1" applyFont="1" applyFill="1" applyBorder="1"/>
    <xf numFmtId="10" fontId="6" fillId="8" borderId="1" xfId="1" applyNumberFormat="1" applyFont="1" applyFill="1" applyBorder="1"/>
    <xf numFmtId="3" fontId="6" fillId="6" borderId="15" xfId="0" applyNumberFormat="1" applyFont="1" applyFill="1" applyBorder="1"/>
    <xf numFmtId="10" fontId="6" fillId="0" borderId="16" xfId="1" applyNumberFormat="1" applyFont="1" applyBorder="1"/>
    <xf numFmtId="3" fontId="6" fillId="7" borderId="15" xfId="0" applyNumberFormat="1" applyFont="1" applyFill="1" applyBorder="1"/>
    <xf numFmtId="3" fontId="6" fillId="6" borderId="1" xfId="0" applyNumberFormat="1" applyFont="1" applyFill="1" applyBorder="1"/>
    <xf numFmtId="10" fontId="6" fillId="0" borderId="1" xfId="1" applyNumberFormat="1" applyFont="1" applyBorder="1"/>
    <xf numFmtId="10" fontId="6" fillId="0" borderId="6" xfId="1" applyNumberFormat="1" applyFont="1" applyFill="1" applyBorder="1"/>
    <xf numFmtId="3" fontId="6" fillId="0" borderId="16" xfId="0" applyNumberFormat="1" applyFont="1" applyBorder="1"/>
    <xf numFmtId="3" fontId="6" fillId="0" borderId="0" xfId="0" applyNumberFormat="1" applyFont="1"/>
    <xf numFmtId="10" fontId="6" fillId="0" borderId="0" xfId="1" applyNumberFormat="1" applyFont="1"/>
    <xf numFmtId="10" fontId="6" fillId="0" borderId="0" xfId="0" applyNumberFormat="1" applyFont="1"/>
    <xf numFmtId="0" fontId="6" fillId="0" borderId="0" xfId="0" applyFont="1"/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9"/>
  <sheetViews>
    <sheetView tabSelected="1" zoomScale="84" zoomScaleNormal="84" workbookViewId="0">
      <selection activeCell="A8" sqref="A8"/>
    </sheetView>
  </sheetViews>
  <sheetFormatPr defaultRowHeight="14.4" x14ac:dyDescent="0.3"/>
  <cols>
    <col min="1" max="1" width="10" bestFit="1" customWidth="1"/>
    <col min="2" max="2" width="11" bestFit="1" customWidth="1"/>
    <col min="3" max="3" width="8.33203125" customWidth="1"/>
    <col min="4" max="5" width="10" bestFit="1" customWidth="1"/>
    <col min="6" max="6" width="10.6640625" bestFit="1" customWidth="1"/>
    <col min="7" max="7" width="7.6640625" bestFit="1" customWidth="1"/>
    <col min="8" max="8" width="8.33203125" bestFit="1" customWidth="1"/>
    <col min="9" max="9" width="10" bestFit="1" customWidth="1"/>
    <col min="10" max="10" width="11.109375" bestFit="1" customWidth="1"/>
    <col min="11" max="11" width="8.33203125" bestFit="1" customWidth="1"/>
    <col min="12" max="12" width="10.44140625" bestFit="1" customWidth="1"/>
    <col min="13" max="13" width="5.6640625" bestFit="1" customWidth="1"/>
    <col min="14" max="14" width="8.33203125" bestFit="1" customWidth="1"/>
    <col min="15" max="15" width="9" bestFit="1" customWidth="1"/>
    <col min="16" max="16" width="11.109375" bestFit="1" customWidth="1"/>
    <col min="17" max="17" width="8.33203125" bestFit="1" customWidth="1"/>
    <col min="18" max="18" width="9" bestFit="1" customWidth="1"/>
    <col min="19" max="19" width="10.44140625" bestFit="1" customWidth="1"/>
    <col min="20" max="21" width="8.33203125" customWidth="1"/>
    <col min="22" max="22" width="9.88671875" bestFit="1" customWidth="1"/>
    <col min="23" max="23" width="10.44140625" bestFit="1" customWidth="1"/>
    <col min="24" max="25" width="8.33203125" bestFit="1" customWidth="1"/>
    <col min="26" max="26" width="9.88671875" bestFit="1" customWidth="1"/>
    <col min="27" max="27" width="10.44140625" bestFit="1" customWidth="1"/>
    <col min="28" max="28" width="9.6640625" bestFit="1" customWidth="1"/>
    <col min="29" max="29" width="10.5546875" bestFit="1" customWidth="1"/>
    <col min="30" max="30" width="10.44140625" bestFit="1" customWidth="1"/>
    <col min="31" max="31" width="9.6640625" bestFit="1" customWidth="1"/>
    <col min="32" max="32" width="8.33203125" bestFit="1" customWidth="1"/>
    <col min="33" max="33" width="9.109375" bestFit="1" customWidth="1"/>
    <col min="34" max="34" width="8.44140625" bestFit="1" customWidth="1"/>
  </cols>
  <sheetData>
    <row r="1" spans="1:40" x14ac:dyDescent="0.3">
      <c r="A1" s="1" t="s">
        <v>15</v>
      </c>
      <c r="B1" s="140">
        <v>2020</v>
      </c>
      <c r="C1" s="141"/>
      <c r="D1" s="17" t="s">
        <v>41</v>
      </c>
      <c r="E1" s="142">
        <v>2020</v>
      </c>
      <c r="F1" s="143"/>
      <c r="G1" s="144">
        <v>2021</v>
      </c>
      <c r="H1" s="143"/>
      <c r="I1" s="23" t="s">
        <v>22</v>
      </c>
      <c r="J1" s="142">
        <v>2020</v>
      </c>
      <c r="K1" s="143"/>
      <c r="L1" s="69" t="s">
        <v>31</v>
      </c>
      <c r="M1" s="142">
        <v>2021</v>
      </c>
      <c r="N1" s="143"/>
      <c r="O1" s="69" t="s">
        <v>32</v>
      </c>
      <c r="P1" s="142">
        <v>2020</v>
      </c>
      <c r="Q1" s="143"/>
      <c r="R1" s="69" t="s">
        <v>36</v>
      </c>
      <c r="S1" s="70" t="s">
        <v>21</v>
      </c>
      <c r="T1" s="145" t="s">
        <v>37</v>
      </c>
      <c r="U1" s="146"/>
      <c r="V1" s="147"/>
      <c r="W1" s="22">
        <v>2020</v>
      </c>
      <c r="X1" s="146" t="s">
        <v>38</v>
      </c>
      <c r="Y1" s="146"/>
      <c r="Z1" s="147"/>
      <c r="AA1" s="148" t="s">
        <v>39</v>
      </c>
      <c r="AB1" s="149"/>
      <c r="AC1" s="17" t="s">
        <v>42</v>
      </c>
      <c r="AD1" s="42"/>
      <c r="AE1" s="42"/>
      <c r="AF1" s="42"/>
      <c r="AG1" s="42"/>
      <c r="AH1" s="43"/>
    </row>
    <row r="2" spans="1:40" x14ac:dyDescent="0.3">
      <c r="A2" s="1"/>
      <c r="B2" s="1" t="s">
        <v>14</v>
      </c>
      <c r="C2" s="16"/>
      <c r="D2" s="18" t="s">
        <v>9</v>
      </c>
      <c r="E2" s="24" t="s">
        <v>10</v>
      </c>
      <c r="F2" s="13" t="s">
        <v>12</v>
      </c>
      <c r="G2" s="150" t="s">
        <v>11</v>
      </c>
      <c r="H2" s="151"/>
      <c r="I2" s="25" t="s">
        <v>16</v>
      </c>
      <c r="J2" s="152" t="s">
        <v>33</v>
      </c>
      <c r="K2" s="153"/>
      <c r="L2" s="154"/>
      <c r="M2" s="24" t="s">
        <v>18</v>
      </c>
      <c r="N2" s="150" t="s">
        <v>34</v>
      </c>
      <c r="O2" s="154"/>
      <c r="P2" s="152" t="s">
        <v>35</v>
      </c>
      <c r="Q2" s="153"/>
      <c r="R2" s="154"/>
      <c r="S2" s="56" t="s">
        <v>19</v>
      </c>
      <c r="T2" s="71" t="s">
        <v>17</v>
      </c>
      <c r="U2" s="13" t="s">
        <v>20</v>
      </c>
      <c r="V2" s="25" t="s">
        <v>23</v>
      </c>
      <c r="W2" s="24" t="s">
        <v>24</v>
      </c>
      <c r="X2" s="75" t="s">
        <v>17</v>
      </c>
      <c r="Y2" s="15" t="s">
        <v>25</v>
      </c>
      <c r="Z2" s="25" t="s">
        <v>26</v>
      </c>
      <c r="AA2" s="50" t="s">
        <v>8</v>
      </c>
      <c r="AB2" s="88" t="s">
        <v>45</v>
      </c>
      <c r="AC2" s="95" t="s">
        <v>27</v>
      </c>
      <c r="AD2" s="52" t="s">
        <v>28</v>
      </c>
      <c r="AE2" s="51" t="s">
        <v>45</v>
      </c>
      <c r="AF2" s="15" t="s">
        <v>29</v>
      </c>
      <c r="AG2" s="155" t="s">
        <v>46</v>
      </c>
      <c r="AH2" s="156"/>
    </row>
    <row r="3" spans="1:40" x14ac:dyDescent="0.3">
      <c r="A3" s="1" t="s">
        <v>0</v>
      </c>
      <c r="B3" s="2">
        <v>387942.66926085419</v>
      </c>
      <c r="C3" s="61">
        <f>B3/B$11</f>
        <v>6.7457731704751278E-2</v>
      </c>
      <c r="D3" s="19"/>
      <c r="E3" s="26">
        <v>78</v>
      </c>
      <c r="F3" s="2"/>
      <c r="G3" s="11">
        <f>E3+F3</f>
        <v>78</v>
      </c>
      <c r="H3" s="38">
        <f>G3/G$11</f>
        <v>9.00900900900901E-2</v>
      </c>
      <c r="I3" s="27">
        <f>G3/G$11*I$13</f>
        <v>18975.891891891893</v>
      </c>
      <c r="J3" s="26">
        <v>2028.54</v>
      </c>
      <c r="K3" s="38">
        <f t="shared" ref="K3:K10" si="0">J3/J$11</f>
        <v>5.6462528797826934E-2</v>
      </c>
      <c r="L3" s="66">
        <f t="shared" ref="L3:L10" si="1">K3/K$11*L$13</f>
        <v>219356.78886948855</v>
      </c>
      <c r="M3" s="44">
        <v>249</v>
      </c>
      <c r="N3" s="38">
        <f t="shared" ref="N3:N10" si="2">M3/M$11</f>
        <v>0.10793237971391417</v>
      </c>
      <c r="O3" s="66">
        <f t="shared" ref="O3:O10" si="3">M3/M$11*O$13</f>
        <v>63150.156046814045</v>
      </c>
      <c r="P3" s="26">
        <v>949.9</v>
      </c>
      <c r="Q3" s="38">
        <f t="shared" ref="Q3:Q10" si="4">P3/P$11</f>
        <v>5.3922784661383186E-2</v>
      </c>
      <c r="R3" s="66">
        <f t="shared" ref="R3:R10" si="5">P3/P$11*R$13</f>
        <v>31549.682077528687</v>
      </c>
      <c r="S3" s="57">
        <f>L3+O3+R3</f>
        <v>314056.62699383125</v>
      </c>
      <c r="T3" s="72">
        <f>S3/S$11</f>
        <v>6.2125735601026404E-2</v>
      </c>
      <c r="U3" s="35">
        <v>0.10589999999999999</v>
      </c>
      <c r="V3" s="27">
        <f t="shared" ref="V3:V10" si="6">(T3-U3)*V$13</f>
        <v>-59095.256938614344</v>
      </c>
      <c r="W3" s="44">
        <v>92355</v>
      </c>
      <c r="X3" s="76">
        <f t="shared" ref="X3:X10" si="7">T3</f>
        <v>6.2125735601026404E-2</v>
      </c>
      <c r="Y3" s="38">
        <f t="shared" ref="Y3:Y10" si="8">W3/W$11</f>
        <v>5.6481540373400134E-2</v>
      </c>
      <c r="Z3" s="27">
        <f t="shared" ref="Z3:Z10" si="9">(X3-Y3)*Z$13</f>
        <v>5147.5819922738565</v>
      </c>
      <c r="AA3" s="89">
        <f t="shared" ref="AA3:AA10" si="10">D3+I3+S3+V3+Z3</f>
        <v>279084.84393938264</v>
      </c>
      <c r="AB3" s="90">
        <f t="shared" ref="AB3:AB10" si="11">AA3/$B3</f>
        <v>0.7193971327544918</v>
      </c>
      <c r="AC3" s="96">
        <f>(B3-AA3)*AD$13</f>
        <v>93938.603219441487</v>
      </c>
      <c r="AD3" s="53">
        <f t="shared" ref="AD3:AD10" si="12">AA3+AC3</f>
        <v>373023.44715882413</v>
      </c>
      <c r="AE3" s="3">
        <f t="shared" ref="AE3:AE10" si="13">AD3/$B3</f>
        <v>0.96154271420966508</v>
      </c>
      <c r="AF3" s="38">
        <f>AD3/AD$11</f>
        <v>6.3754883378424526E-2</v>
      </c>
      <c r="AG3" s="104">
        <f t="shared" ref="AG3:AG10" si="14">AF3-C3</f>
        <v>-3.702848326326752E-3</v>
      </c>
      <c r="AH3" s="97">
        <f t="shared" ref="AH3:AH10" si="15">AD3-B3</f>
        <v>-14919.222102030064</v>
      </c>
      <c r="AI3" s="107"/>
      <c r="AJ3" s="107"/>
      <c r="AK3" s="107"/>
      <c r="AL3" s="110"/>
      <c r="AM3" s="111"/>
      <c r="AN3" s="107"/>
    </row>
    <row r="4" spans="1:40" x14ac:dyDescent="0.3">
      <c r="A4" s="1" t="s">
        <v>1</v>
      </c>
      <c r="B4" s="2">
        <v>990900.72349170269</v>
      </c>
      <c r="C4" s="61">
        <f t="shared" ref="C4:C10" si="16">B4/B$11</f>
        <v>0.17230359134947618</v>
      </c>
      <c r="D4" s="19"/>
      <c r="E4" s="26">
        <v>157.94999999999999</v>
      </c>
      <c r="F4" s="11">
        <f>2*0.975</f>
        <v>1.95</v>
      </c>
      <c r="G4" s="11">
        <f t="shared" ref="G4:G10" si="17">E4+F4</f>
        <v>159.89999999999998</v>
      </c>
      <c r="H4" s="38">
        <f t="shared" ref="H4:H10" si="18">G4/G$11</f>
        <v>0.18468468468468466</v>
      </c>
      <c r="I4" s="27">
        <f t="shared" ref="I4:I10" si="19">G4/G$11*I$13</f>
        <v>38900.57837837837</v>
      </c>
      <c r="J4" s="26">
        <v>6379.8</v>
      </c>
      <c r="K4" s="38">
        <f t="shared" si="0"/>
        <v>0.177575813749976</v>
      </c>
      <c r="L4" s="66">
        <f t="shared" si="1"/>
        <v>689881.61023670388</v>
      </c>
      <c r="M4" s="44">
        <f>359+2</f>
        <v>361</v>
      </c>
      <c r="N4" s="38">
        <f t="shared" si="2"/>
        <v>0.15648027741655829</v>
      </c>
      <c r="O4" s="66">
        <f t="shared" si="3"/>
        <v>91555.045513654084</v>
      </c>
      <c r="P4" s="26">
        <v>3555.95</v>
      </c>
      <c r="Q4" s="38">
        <f t="shared" si="4"/>
        <v>0.20185990748146704</v>
      </c>
      <c r="R4" s="66">
        <f t="shared" si="5"/>
        <v>118106.21326833154</v>
      </c>
      <c r="S4" s="57">
        <f t="shared" ref="S4:S10" si="20">L4+O4+R4</f>
        <v>899542.8690186895</v>
      </c>
      <c r="T4" s="72">
        <f t="shared" ref="T4:T10" si="21">S4/S$11</f>
        <v>0.17794485974512336</v>
      </c>
      <c r="U4" s="35">
        <v>0.17460000000000001</v>
      </c>
      <c r="V4" s="27">
        <f t="shared" si="6"/>
        <v>4515.5606559165326</v>
      </c>
      <c r="W4" s="44">
        <v>162916</v>
      </c>
      <c r="X4" s="76">
        <f t="shared" si="7"/>
        <v>0.17794485974512336</v>
      </c>
      <c r="Y4" s="38">
        <f t="shared" si="8"/>
        <v>9.9634525813143374E-2</v>
      </c>
      <c r="Z4" s="27">
        <f t="shared" si="9"/>
        <v>71420.078239700524</v>
      </c>
      <c r="AA4" s="89">
        <f t="shared" si="10"/>
        <v>1014379.086292685</v>
      </c>
      <c r="AB4" s="90">
        <f t="shared" si="11"/>
        <v>1.0236939607009772</v>
      </c>
      <c r="AC4" s="96"/>
      <c r="AD4" s="53">
        <f t="shared" si="12"/>
        <v>1014379.086292685</v>
      </c>
      <c r="AE4" s="3">
        <f t="shared" si="13"/>
        <v>1.0236939607009772</v>
      </c>
      <c r="AF4" s="38">
        <f t="shared" ref="AF4:AF10" si="22">AD4/AD$11</f>
        <v>0.17337146187640959</v>
      </c>
      <c r="AG4" s="104">
        <f t="shared" si="14"/>
        <v>1.0678705269334121E-3</v>
      </c>
      <c r="AH4" s="97">
        <f t="shared" si="15"/>
        <v>23478.362800982315</v>
      </c>
      <c r="AI4" s="107"/>
      <c r="AJ4" s="107"/>
      <c r="AK4" s="107"/>
      <c r="AL4" s="110"/>
      <c r="AM4" s="111"/>
      <c r="AN4" s="107"/>
    </row>
    <row r="5" spans="1:40" x14ac:dyDescent="0.3">
      <c r="A5" s="1" t="s">
        <v>2</v>
      </c>
      <c r="B5" s="2">
        <v>497746.8158807077</v>
      </c>
      <c r="C5" s="61">
        <f t="shared" si="16"/>
        <v>8.6551116500149128E-2</v>
      </c>
      <c r="D5" s="19"/>
      <c r="E5" s="26">
        <v>75.075000000000003</v>
      </c>
      <c r="F5" s="5"/>
      <c r="G5" s="11">
        <f t="shared" si="17"/>
        <v>75.075000000000003</v>
      </c>
      <c r="H5" s="38">
        <f t="shared" si="18"/>
        <v>8.6711711711711714E-2</v>
      </c>
      <c r="I5" s="27">
        <f t="shared" si="19"/>
        <v>18264.295945945945</v>
      </c>
      <c r="J5" s="26">
        <v>2954.88</v>
      </c>
      <c r="K5" s="38">
        <f t="shared" si="0"/>
        <v>8.2246343229181021E-2</v>
      </c>
      <c r="L5" s="66">
        <f t="shared" si="1"/>
        <v>319526.84605414455</v>
      </c>
      <c r="M5" s="44">
        <v>211</v>
      </c>
      <c r="N5" s="38">
        <f t="shared" si="2"/>
        <v>9.146077156480277E-2</v>
      </c>
      <c r="O5" s="66">
        <f t="shared" si="3"/>
        <v>53512.782834850455</v>
      </c>
      <c r="P5" s="26">
        <v>1606.35</v>
      </c>
      <c r="Q5" s="38">
        <f t="shared" si="4"/>
        <v>9.1187351448376544E-2</v>
      </c>
      <c r="R5" s="66">
        <f t="shared" si="5"/>
        <v>53352.807458930634</v>
      </c>
      <c r="S5" s="57">
        <f t="shared" si="20"/>
        <v>426392.43634792569</v>
      </c>
      <c r="T5" s="72">
        <f t="shared" si="21"/>
        <v>8.4347666904507096E-2</v>
      </c>
      <c r="U5" s="35">
        <v>8.4000000000000005E-2</v>
      </c>
      <c r="V5" s="27">
        <f t="shared" si="6"/>
        <v>469.35032108457244</v>
      </c>
      <c r="W5" s="44">
        <v>74704</v>
      </c>
      <c r="X5" s="76">
        <f t="shared" si="7"/>
        <v>8.4347666904507096E-2</v>
      </c>
      <c r="Y5" s="38">
        <f t="shared" si="8"/>
        <v>4.5686719636776389E-2</v>
      </c>
      <c r="Z5" s="27">
        <f t="shared" si="9"/>
        <v>35259.304105133837</v>
      </c>
      <c r="AA5" s="89">
        <f t="shared" si="10"/>
        <v>480385.38672009006</v>
      </c>
      <c r="AB5" s="90">
        <f t="shared" si="11"/>
        <v>0.96511995937151596</v>
      </c>
      <c r="AC5" s="96">
        <f>(B5-AA5)*AD$13</f>
        <v>14982.0042833431</v>
      </c>
      <c r="AD5" s="53">
        <f t="shared" si="12"/>
        <v>495367.39100343315</v>
      </c>
      <c r="AE5" s="3">
        <f t="shared" si="13"/>
        <v>0.9952196080389496</v>
      </c>
      <c r="AF5" s="38">
        <f t="shared" si="22"/>
        <v>8.4665161086915353E-2</v>
      </c>
      <c r="AG5" s="104">
        <f t="shared" si="14"/>
        <v>-1.8859554132337752E-3</v>
      </c>
      <c r="AH5" s="97">
        <f t="shared" si="15"/>
        <v>-2379.4248772745486</v>
      </c>
      <c r="AI5" s="107"/>
      <c r="AJ5" s="107"/>
      <c r="AK5" s="107"/>
      <c r="AL5" s="110"/>
      <c r="AM5" s="111"/>
      <c r="AN5" s="107"/>
    </row>
    <row r="6" spans="1:40" x14ac:dyDescent="0.3">
      <c r="A6" s="1" t="s">
        <v>3</v>
      </c>
      <c r="B6" s="2">
        <v>622292.21738425537</v>
      </c>
      <c r="C6" s="61">
        <f t="shared" si="16"/>
        <v>0.1082077965856223</v>
      </c>
      <c r="D6" s="19"/>
      <c r="E6" s="26">
        <v>143.32499999999999</v>
      </c>
      <c r="F6" s="11">
        <f>4*0.975</f>
        <v>3.9</v>
      </c>
      <c r="G6" s="11">
        <f t="shared" si="17"/>
        <v>147.22499999999999</v>
      </c>
      <c r="H6" s="38">
        <f t="shared" si="18"/>
        <v>0.17004504504504506</v>
      </c>
      <c r="I6" s="27">
        <f t="shared" si="19"/>
        <v>35816.99594594595</v>
      </c>
      <c r="J6" s="26">
        <v>3443.94</v>
      </c>
      <c r="K6" s="38">
        <f t="shared" si="0"/>
        <v>9.5858874573825553E-2</v>
      </c>
      <c r="L6" s="66">
        <f t="shared" si="1"/>
        <v>372411.49765801337</v>
      </c>
      <c r="M6" s="44">
        <f>231+2</f>
        <v>233</v>
      </c>
      <c r="N6" s="38">
        <f t="shared" si="2"/>
        <v>0.10099696575639358</v>
      </c>
      <c r="O6" s="66">
        <f t="shared" si="3"/>
        <v>59092.31469440832</v>
      </c>
      <c r="P6" s="26">
        <v>1920.85</v>
      </c>
      <c r="Q6" s="38">
        <f t="shared" si="4"/>
        <v>0.10904051049249174</v>
      </c>
      <c r="R6" s="66">
        <f t="shared" si="5"/>
        <v>63798.512284051991</v>
      </c>
      <c r="S6" s="57">
        <f t="shared" si="20"/>
        <v>495302.32463647367</v>
      </c>
      <c r="T6" s="72">
        <f t="shared" si="21"/>
        <v>9.7979213358690628E-2</v>
      </c>
      <c r="U6" s="35">
        <v>0.1066</v>
      </c>
      <c r="V6" s="27">
        <f t="shared" si="6"/>
        <v>-11638.061965767653</v>
      </c>
      <c r="W6" s="44">
        <v>78169</v>
      </c>
      <c r="X6" s="76">
        <f t="shared" si="7"/>
        <v>9.7979213358690628E-2</v>
      </c>
      <c r="Y6" s="38">
        <f t="shared" si="8"/>
        <v>4.7805809425026421E-2</v>
      </c>
      <c r="Z6" s="27">
        <f t="shared" si="9"/>
        <v>45758.819488714107</v>
      </c>
      <c r="AA6" s="89">
        <f t="shared" si="10"/>
        <v>565240.07810536609</v>
      </c>
      <c r="AB6" s="90">
        <f t="shared" si="11"/>
        <v>0.90831937523065553</v>
      </c>
      <c r="AC6" s="96">
        <f>(B6-AA6)*AD$13</f>
        <v>49233.008823324199</v>
      </c>
      <c r="AD6" s="53">
        <f t="shared" si="12"/>
        <v>614473.08692869032</v>
      </c>
      <c r="AE6" s="3">
        <f t="shared" si="13"/>
        <v>0.98743495380926982</v>
      </c>
      <c r="AF6" s="38">
        <f t="shared" si="22"/>
        <v>0.10502197729044938</v>
      </c>
      <c r="AG6" s="104">
        <f t="shared" si="14"/>
        <v>-3.1858192951729203E-3</v>
      </c>
      <c r="AH6" s="97">
        <f t="shared" si="15"/>
        <v>-7819.1304555650568</v>
      </c>
      <c r="AI6" s="107"/>
      <c r="AJ6" s="107"/>
      <c r="AK6" s="107"/>
      <c r="AL6" s="110"/>
      <c r="AM6" s="111"/>
      <c r="AN6" s="107"/>
    </row>
    <row r="7" spans="1:40" x14ac:dyDescent="0.3">
      <c r="A7" s="1" t="s">
        <v>4</v>
      </c>
      <c r="B7" s="2">
        <v>1298300.1641419441</v>
      </c>
      <c r="C7" s="61">
        <f t="shared" si="16"/>
        <v>0.22575599717295447</v>
      </c>
      <c r="D7" s="19"/>
      <c r="E7" s="26">
        <v>153.07499999999999</v>
      </c>
      <c r="F7" s="11">
        <v>0.97499999999999998</v>
      </c>
      <c r="G7" s="11">
        <f t="shared" si="17"/>
        <v>154.04999999999998</v>
      </c>
      <c r="H7" s="38">
        <f t="shared" si="18"/>
        <v>0.17792792792792791</v>
      </c>
      <c r="I7" s="27">
        <f t="shared" si="19"/>
        <v>37477.386486486481</v>
      </c>
      <c r="J7" s="26">
        <v>9336.7999999999993</v>
      </c>
      <c r="K7" s="38">
        <f t="shared" si="0"/>
        <v>0.25988116521219717</v>
      </c>
      <c r="L7" s="66">
        <f t="shared" si="1"/>
        <v>1009637.7031345897</v>
      </c>
      <c r="M7" s="44">
        <v>519</v>
      </c>
      <c r="N7" s="38">
        <f t="shared" si="2"/>
        <v>0.22496749024707413</v>
      </c>
      <c r="O7" s="66">
        <f t="shared" si="3"/>
        <v>131626.2288686606</v>
      </c>
      <c r="P7" s="26">
        <v>5281.4</v>
      </c>
      <c r="Q7" s="38">
        <f t="shared" si="4"/>
        <v>0.29980818497802836</v>
      </c>
      <c r="R7" s="66">
        <f t="shared" si="5"/>
        <v>175414.77094879461</v>
      </c>
      <c r="S7" s="57">
        <f t="shared" si="20"/>
        <v>1316678.702952045</v>
      </c>
      <c r="T7" s="72">
        <f t="shared" si="21"/>
        <v>0.26046141345301993</v>
      </c>
      <c r="U7" s="35">
        <v>0.26719999999999999</v>
      </c>
      <c r="V7" s="27">
        <f t="shared" si="6"/>
        <v>-9097.0918384230845</v>
      </c>
      <c r="W7" s="44">
        <v>291721</v>
      </c>
      <c r="X7" s="76">
        <f t="shared" si="7"/>
        <v>0.26046141345301993</v>
      </c>
      <c r="Y7" s="38">
        <f t="shared" si="8"/>
        <v>0.1784077899330698</v>
      </c>
      <c r="Z7" s="27">
        <f t="shared" si="9"/>
        <v>74834.00871123829</v>
      </c>
      <c r="AA7" s="89">
        <f t="shared" si="10"/>
        <v>1419893.0063113468</v>
      </c>
      <c r="AB7" s="90">
        <f t="shared" si="11"/>
        <v>1.0936554161569902</v>
      </c>
      <c r="AC7" s="96"/>
      <c r="AD7" s="53">
        <f t="shared" si="12"/>
        <v>1419893.0063113468</v>
      </c>
      <c r="AE7" s="3">
        <f t="shared" si="13"/>
        <v>1.0936554161569902</v>
      </c>
      <c r="AF7" s="38">
        <f t="shared" si="22"/>
        <v>0.24267941792055009</v>
      </c>
      <c r="AG7" s="104">
        <f t="shared" si="14"/>
        <v>1.6923420747595619E-2</v>
      </c>
      <c r="AH7" s="97">
        <f t="shared" si="15"/>
        <v>121592.84216940263</v>
      </c>
      <c r="AI7" s="107"/>
      <c r="AJ7" s="107"/>
      <c r="AK7" s="107"/>
      <c r="AL7" s="110"/>
      <c r="AM7" s="111"/>
      <c r="AN7" s="107"/>
    </row>
    <row r="8" spans="1:40" s="139" customFormat="1" ht="18" x14ac:dyDescent="0.35">
      <c r="A8" s="115" t="s">
        <v>5</v>
      </c>
      <c r="B8" s="116">
        <v>334397.87180795701</v>
      </c>
      <c r="C8" s="117">
        <f t="shared" si="16"/>
        <v>5.8147050341330393E-2</v>
      </c>
      <c r="D8" s="118"/>
      <c r="E8" s="119">
        <v>59.475000000000001</v>
      </c>
      <c r="F8" s="120">
        <v>0.97499999999999998</v>
      </c>
      <c r="G8" s="120">
        <f t="shared" si="17"/>
        <v>60.45</v>
      </c>
      <c r="H8" s="121">
        <f t="shared" si="18"/>
        <v>6.9819819819819828E-2</v>
      </c>
      <c r="I8" s="122">
        <f t="shared" si="19"/>
        <v>14706.316216216217</v>
      </c>
      <c r="J8" s="119">
        <v>2383.2600000000002</v>
      </c>
      <c r="K8" s="121">
        <f t="shared" si="0"/>
        <v>6.6335830884630839E-2</v>
      </c>
      <c r="L8" s="123">
        <f t="shared" si="1"/>
        <v>257714.54378079675</v>
      </c>
      <c r="M8" s="124">
        <v>121</v>
      </c>
      <c r="N8" s="121">
        <f t="shared" si="2"/>
        <v>5.2449068053749458E-2</v>
      </c>
      <c r="O8" s="123">
        <f t="shared" si="3"/>
        <v>30687.42522756827</v>
      </c>
      <c r="P8" s="119">
        <v>1158.25</v>
      </c>
      <c r="Q8" s="121">
        <f t="shared" si="4"/>
        <v>6.5750147735600672E-2</v>
      </c>
      <c r="R8" s="123">
        <f t="shared" si="5"/>
        <v>38469.753938622598</v>
      </c>
      <c r="S8" s="125">
        <f t="shared" si="20"/>
        <v>326871.7229469876</v>
      </c>
      <c r="T8" s="126">
        <f t="shared" si="21"/>
        <v>6.4660779266585519E-2</v>
      </c>
      <c r="U8" s="127">
        <v>9.01E-2</v>
      </c>
      <c r="V8" s="122">
        <f t="shared" si="6"/>
        <v>-34342.947990109547</v>
      </c>
      <c r="W8" s="124">
        <v>133276</v>
      </c>
      <c r="X8" s="128">
        <f t="shared" si="7"/>
        <v>6.4660779266585519E-2</v>
      </c>
      <c r="Y8" s="121">
        <f t="shared" si="8"/>
        <v>8.1507593252182084E-2</v>
      </c>
      <c r="Z8" s="122">
        <f t="shared" si="9"/>
        <v>-15364.521034811096</v>
      </c>
      <c r="AA8" s="129">
        <f t="shared" si="10"/>
        <v>291870.57013828313</v>
      </c>
      <c r="AB8" s="130">
        <f t="shared" si="11"/>
        <v>0.87282424544227633</v>
      </c>
      <c r="AC8" s="131">
        <f>(B8-AA8)*AD$13</f>
        <v>36698.834518725271</v>
      </c>
      <c r="AD8" s="132">
        <f t="shared" si="12"/>
        <v>328569.40465700842</v>
      </c>
      <c r="AE8" s="133">
        <f t="shared" si="13"/>
        <v>0.98257026242590484</v>
      </c>
      <c r="AF8" s="121">
        <f t="shared" si="22"/>
        <v>5.615707064844868E-2</v>
      </c>
      <c r="AG8" s="134">
        <f t="shared" si="14"/>
        <v>-1.9899796928817132E-3</v>
      </c>
      <c r="AH8" s="135">
        <f t="shared" si="15"/>
        <v>-5828.4671509485925</v>
      </c>
      <c r="AI8" s="136"/>
      <c r="AJ8" s="136"/>
      <c r="AK8" s="136"/>
      <c r="AL8" s="137"/>
      <c r="AM8" s="138"/>
      <c r="AN8" s="136"/>
    </row>
    <row r="9" spans="1:40" x14ac:dyDescent="0.3">
      <c r="A9" s="1" t="s">
        <v>6</v>
      </c>
      <c r="B9" s="2">
        <v>798294.62706858153</v>
      </c>
      <c r="C9" s="61">
        <f t="shared" si="16"/>
        <v>0.13881212107123778</v>
      </c>
      <c r="D9" s="19">
        <v>174500</v>
      </c>
      <c r="E9" s="26">
        <v>34.450000000000003</v>
      </c>
      <c r="F9" s="11">
        <v>0.65</v>
      </c>
      <c r="G9" s="11">
        <f t="shared" si="17"/>
        <v>35.1</v>
      </c>
      <c r="H9" s="38">
        <f t="shared" si="18"/>
        <v>4.0540540540540543E-2</v>
      </c>
      <c r="I9" s="27">
        <f t="shared" si="19"/>
        <v>8539.151351351351</v>
      </c>
      <c r="J9" s="26">
        <v>6035.13</v>
      </c>
      <c r="K9" s="38">
        <f t="shared" si="0"/>
        <v>0.16798224408866932</v>
      </c>
      <c r="L9" s="66">
        <f t="shared" si="1"/>
        <v>652610.61512709467</v>
      </c>
      <c r="M9" s="44">
        <f>245+10</f>
        <v>255</v>
      </c>
      <c r="N9" s="38">
        <f t="shared" si="2"/>
        <v>0.11053315994798439</v>
      </c>
      <c r="O9" s="66">
        <f t="shared" si="3"/>
        <v>64671.846553966185</v>
      </c>
      <c r="P9" s="26">
        <v>2419.0300000000002</v>
      </c>
      <c r="Q9" s="38">
        <f t="shared" si="4"/>
        <v>0.13732059561998713</v>
      </c>
      <c r="R9" s="66">
        <f t="shared" si="5"/>
        <v>80344.907291298267</v>
      </c>
      <c r="S9" s="57">
        <f t="shared" si="20"/>
        <v>797627.36897235911</v>
      </c>
      <c r="T9" s="72">
        <f t="shared" si="21"/>
        <v>0.15778424262925184</v>
      </c>
      <c r="U9" s="35">
        <v>0.1076</v>
      </c>
      <c r="V9" s="27">
        <f t="shared" si="6"/>
        <v>67748.72754948998</v>
      </c>
      <c r="W9" s="44">
        <v>774619</v>
      </c>
      <c r="X9" s="76">
        <f t="shared" si="7"/>
        <v>0.15778424262925184</v>
      </c>
      <c r="Y9" s="38">
        <f t="shared" si="8"/>
        <v>0.47373368331441545</v>
      </c>
      <c r="Z9" s="27">
        <f t="shared" si="9"/>
        <v>-288150.14111833542</v>
      </c>
      <c r="AA9" s="89">
        <f t="shared" si="10"/>
        <v>760265.10675486503</v>
      </c>
      <c r="AB9" s="90">
        <f t="shared" si="11"/>
        <v>0.9523615479495775</v>
      </c>
      <c r="AC9" s="96">
        <f>(B9-AA9)*AD$13</f>
        <v>32817.484722168716</v>
      </c>
      <c r="AD9" s="53">
        <f t="shared" si="12"/>
        <v>793082.5914770338</v>
      </c>
      <c r="AE9" s="3">
        <f t="shared" si="13"/>
        <v>0.99347103761591526</v>
      </c>
      <c r="AF9" s="38">
        <f t="shared" si="22"/>
        <v>0.13554882009212835</v>
      </c>
      <c r="AG9" s="104">
        <f t="shared" si="14"/>
        <v>-3.2633009791094292E-3</v>
      </c>
      <c r="AH9" s="97">
        <f t="shared" si="15"/>
        <v>-5212.0355915477267</v>
      </c>
      <c r="AI9" s="107"/>
      <c r="AJ9" s="107"/>
      <c r="AK9" s="107"/>
      <c r="AL9" s="110"/>
      <c r="AM9" s="111"/>
      <c r="AN9" s="107"/>
    </row>
    <row r="10" spans="1:40" ht="15" thickBot="1" x14ac:dyDescent="0.35">
      <c r="A10" s="8" t="s">
        <v>7</v>
      </c>
      <c r="B10" s="9">
        <v>821024.91096399841</v>
      </c>
      <c r="C10" s="62">
        <f t="shared" si="16"/>
        <v>0.14276459527447849</v>
      </c>
      <c r="D10" s="20">
        <v>126800</v>
      </c>
      <c r="E10" s="28">
        <v>153.07499999999999</v>
      </c>
      <c r="F10" s="12">
        <f>3*0.975</f>
        <v>2.9249999999999998</v>
      </c>
      <c r="G10" s="12">
        <f t="shared" si="17"/>
        <v>156</v>
      </c>
      <c r="H10" s="39">
        <f t="shared" si="18"/>
        <v>0.1801801801801802</v>
      </c>
      <c r="I10" s="29">
        <f t="shared" si="19"/>
        <v>37951.783783783787</v>
      </c>
      <c r="J10" s="28">
        <v>3364.84</v>
      </c>
      <c r="K10" s="39">
        <f t="shared" si="0"/>
        <v>9.3657199463693094E-2</v>
      </c>
      <c r="L10" s="67">
        <f t="shared" si="1"/>
        <v>363857.99513916904</v>
      </c>
      <c r="M10" s="45">
        <v>358</v>
      </c>
      <c r="N10" s="39">
        <f t="shared" si="2"/>
        <v>0.1551798872995232</v>
      </c>
      <c r="O10" s="67">
        <f t="shared" si="3"/>
        <v>90794.200260078025</v>
      </c>
      <c r="P10" s="28">
        <v>724.2</v>
      </c>
      <c r="Q10" s="39">
        <f t="shared" si="4"/>
        <v>4.1110517582665235E-2</v>
      </c>
      <c r="R10" s="67">
        <f t="shared" si="5"/>
        <v>24053.352732441603</v>
      </c>
      <c r="S10" s="58">
        <f t="shared" si="20"/>
        <v>478705.54813168867</v>
      </c>
      <c r="T10" s="73">
        <f t="shared" si="21"/>
        <v>9.4696089041795217E-2</v>
      </c>
      <c r="U10" s="36">
        <v>6.4000000000000001E-2</v>
      </c>
      <c r="V10" s="29">
        <f t="shared" si="6"/>
        <v>41439.720206423539</v>
      </c>
      <c r="W10" s="45">
        <v>27376</v>
      </c>
      <c r="X10" s="77">
        <f t="shared" si="7"/>
        <v>9.4696089041795217E-2</v>
      </c>
      <c r="Y10" s="39">
        <f t="shared" si="8"/>
        <v>1.6742338251986379E-2</v>
      </c>
      <c r="Z10" s="29">
        <f t="shared" si="9"/>
        <v>71094.869616085896</v>
      </c>
      <c r="AA10" s="91">
        <f t="shared" si="10"/>
        <v>755991.92173798184</v>
      </c>
      <c r="AB10" s="92">
        <f t="shared" si="11"/>
        <v>0.92079047985321338</v>
      </c>
      <c r="AC10" s="98">
        <f>(B10-AA10)*AD$13</f>
        <v>56120.06443299762</v>
      </c>
      <c r="AD10" s="54">
        <f t="shared" si="12"/>
        <v>812111.98617097945</v>
      </c>
      <c r="AE10" s="10">
        <f t="shared" si="13"/>
        <v>0.98914414815677887</v>
      </c>
      <c r="AF10" s="39">
        <f t="shared" si="22"/>
        <v>0.13880120770667406</v>
      </c>
      <c r="AG10" s="106">
        <f t="shared" si="14"/>
        <v>-3.9633875678044272E-3</v>
      </c>
      <c r="AH10" s="99">
        <f t="shared" si="15"/>
        <v>-8912.9247930189595</v>
      </c>
      <c r="AI10" s="107"/>
      <c r="AJ10" s="107"/>
      <c r="AK10" s="107"/>
      <c r="AL10" s="110"/>
      <c r="AM10" s="111"/>
      <c r="AN10" s="107"/>
    </row>
    <row r="11" spans="1:40" ht="15.6" thickTop="1" thickBot="1" x14ac:dyDescent="0.35">
      <c r="A11" s="6" t="s">
        <v>8</v>
      </c>
      <c r="B11" s="7">
        <f>SUM(B3:B10)</f>
        <v>5750900.0000000009</v>
      </c>
      <c r="C11" s="63">
        <f>SUM(C3:C10)</f>
        <v>1</v>
      </c>
      <c r="D11" s="21">
        <f>SUM(D3:D10)</f>
        <v>301300</v>
      </c>
      <c r="E11" s="30">
        <f>SUM(E3:E10)</f>
        <v>854.42499999999995</v>
      </c>
      <c r="F11" s="14">
        <f t="shared" ref="F11:AD11" si="23">SUM(F3:F10)</f>
        <v>11.375</v>
      </c>
      <c r="G11" s="14">
        <f t="shared" si="23"/>
        <v>865.8</v>
      </c>
      <c r="H11" s="65">
        <f>SUM(H3:H10)</f>
        <v>1</v>
      </c>
      <c r="I11" s="31">
        <f t="shared" si="23"/>
        <v>210632.4</v>
      </c>
      <c r="J11" s="30">
        <f>SUM(J3:J10)</f>
        <v>35927.19</v>
      </c>
      <c r="K11" s="40">
        <f>SUM(K3:K10)</f>
        <v>0.99999999999999989</v>
      </c>
      <c r="L11" s="68">
        <f t="shared" si="23"/>
        <v>3884997.6000000006</v>
      </c>
      <c r="M11" s="46">
        <f t="shared" si="23"/>
        <v>2307</v>
      </c>
      <c r="N11" s="40">
        <f>SUM(N3:N10)</f>
        <v>1</v>
      </c>
      <c r="O11" s="68">
        <f t="shared" si="23"/>
        <v>585090</v>
      </c>
      <c r="P11" s="30">
        <f t="shared" si="23"/>
        <v>17615.93</v>
      </c>
      <c r="Q11" s="40">
        <f>SUM(Q3:Q10)</f>
        <v>0.99999999999999978</v>
      </c>
      <c r="R11" s="68">
        <f t="shared" si="23"/>
        <v>585090</v>
      </c>
      <c r="S11" s="59">
        <f t="shared" si="23"/>
        <v>5055177.6000000006</v>
      </c>
      <c r="T11" s="74">
        <f t="shared" si="23"/>
        <v>1</v>
      </c>
      <c r="U11" s="37">
        <f t="shared" si="23"/>
        <v>1</v>
      </c>
      <c r="V11" s="31">
        <f t="shared" si="23"/>
        <v>0</v>
      </c>
      <c r="W11" s="46">
        <f t="shared" si="23"/>
        <v>1635136</v>
      </c>
      <c r="X11" s="78">
        <f t="shared" si="23"/>
        <v>1</v>
      </c>
      <c r="Y11" s="40">
        <f t="shared" si="23"/>
        <v>1</v>
      </c>
      <c r="Z11" s="31">
        <f t="shared" si="23"/>
        <v>0</v>
      </c>
      <c r="AA11" s="93">
        <f t="shared" si="23"/>
        <v>5567110</v>
      </c>
      <c r="AB11" s="94"/>
      <c r="AC11" s="100">
        <f t="shared" si="23"/>
        <v>283790.00000000035</v>
      </c>
      <c r="AD11" s="101">
        <f t="shared" si="23"/>
        <v>5850900.0000000009</v>
      </c>
      <c r="AE11" s="49"/>
      <c r="AF11" s="102">
        <f t="shared" ref="AF11" si="24">SUM(AF3:AF10)</f>
        <v>0.99999999999999989</v>
      </c>
      <c r="AG11" s="105"/>
      <c r="AH11" s="103">
        <f>SUM(AH3:AH10)</f>
        <v>100000</v>
      </c>
      <c r="AI11" s="107"/>
      <c r="AJ11" s="107"/>
      <c r="AK11" s="107"/>
      <c r="AN11" s="107"/>
    </row>
    <row r="12" spans="1:40" ht="15" thickBot="1" x14ac:dyDescent="0.35">
      <c r="A12" s="1"/>
      <c r="B12" s="157">
        <v>2021</v>
      </c>
      <c r="C12" s="158"/>
      <c r="D12" s="85"/>
      <c r="E12" s="32"/>
      <c r="F12" s="1"/>
      <c r="G12" s="1"/>
      <c r="H12" s="16"/>
      <c r="I12" s="84"/>
      <c r="J12" s="32"/>
      <c r="K12" s="64"/>
      <c r="L12" s="80"/>
      <c r="M12" s="32"/>
      <c r="N12" s="64"/>
      <c r="O12" s="80"/>
      <c r="P12" s="32"/>
      <c r="Q12" s="64"/>
      <c r="R12" s="80"/>
      <c r="S12" s="83"/>
      <c r="T12" s="32"/>
      <c r="U12" s="1"/>
      <c r="V12" s="80"/>
      <c r="W12" s="47"/>
      <c r="X12" s="4"/>
      <c r="Y12" s="4"/>
      <c r="Z12" s="48"/>
      <c r="AA12" s="112">
        <f>(B3+B5+B6+B8+B9+B10)-(AA3+AA5+AA6+AA8+AA9+AA10)</f>
        <v>328861.20497038495</v>
      </c>
    </row>
    <row r="13" spans="1:40" ht="15" thickBot="1" x14ac:dyDescent="0.35">
      <c r="A13" s="16" t="s">
        <v>13</v>
      </c>
      <c r="B13" s="87">
        <v>5850900</v>
      </c>
      <c r="C13" s="86"/>
      <c r="D13" s="79">
        <v>301300</v>
      </c>
      <c r="E13" s="33"/>
      <c r="F13" s="34"/>
      <c r="G13" s="34"/>
      <c r="H13" s="60"/>
      <c r="I13" s="79">
        <f>$B$13*I14</f>
        <v>210632.4</v>
      </c>
      <c r="J13" s="33"/>
      <c r="K13" s="81"/>
      <c r="L13" s="82">
        <f>$B$13*L14</f>
        <v>3884997.6</v>
      </c>
      <c r="M13" s="33"/>
      <c r="N13" s="81"/>
      <c r="O13" s="82">
        <f>$B$13*O14</f>
        <v>585090</v>
      </c>
      <c r="P13" s="33"/>
      <c r="Q13" s="81"/>
      <c r="R13" s="82">
        <f>$B$13*R14</f>
        <v>585090</v>
      </c>
      <c r="S13" s="79">
        <f>$B$13*0.9*0.96</f>
        <v>5055177.5999999996</v>
      </c>
      <c r="T13" s="33"/>
      <c r="U13" s="60"/>
      <c r="V13" s="79">
        <v>1350000</v>
      </c>
      <c r="W13" s="55">
        <f>0.84*L14</f>
        <v>0.55776000000000003</v>
      </c>
      <c r="X13" s="159" t="s">
        <v>40</v>
      </c>
      <c r="Y13" s="160"/>
      <c r="Z13" s="79">
        <f>W11*W13</f>
        <v>912013.45536000002</v>
      </c>
      <c r="AC13" s="79">
        <f>$B$13*0.1-D13</f>
        <v>283790</v>
      </c>
      <c r="AD13" s="113">
        <f>AC13/AA12</f>
        <v>0.86294763782050921</v>
      </c>
    </row>
    <row r="14" spans="1:40" ht="15" thickBot="1" x14ac:dyDescent="0.35">
      <c r="D14" s="55">
        <f>D13/$B13</f>
        <v>5.1496350988736776E-2</v>
      </c>
      <c r="G14" s="159" t="s">
        <v>30</v>
      </c>
      <c r="H14" s="160"/>
      <c r="I14" s="41">
        <v>3.5999999999999997E-2</v>
      </c>
      <c r="L14" s="41">
        <v>0.66400000000000003</v>
      </c>
      <c r="O14" s="41">
        <v>0.1</v>
      </c>
      <c r="R14" s="41">
        <v>0.1</v>
      </c>
      <c r="AC14" s="108">
        <f>AC13/$B13</f>
        <v>4.8503649011263222E-2</v>
      </c>
    </row>
    <row r="15" spans="1:40" ht="15" thickBot="1" x14ac:dyDescent="0.35">
      <c r="R15" s="41">
        <f>L14+O14+R14</f>
        <v>0.86399999999999999</v>
      </c>
      <c r="AA15" s="159" t="s">
        <v>44</v>
      </c>
      <c r="AB15" s="161"/>
      <c r="AC15" s="109">
        <f>AC13-AC11</f>
        <v>0</v>
      </c>
    </row>
    <row r="16" spans="1:40" ht="15" thickBot="1" x14ac:dyDescent="0.35">
      <c r="L16" s="159" t="s">
        <v>43</v>
      </c>
      <c r="M16" s="161"/>
      <c r="N16" s="161"/>
      <c r="O16" s="161"/>
      <c r="P16" s="161"/>
      <c r="Q16" s="160"/>
      <c r="R16" s="41">
        <f>1-D14-AC14</f>
        <v>0.9</v>
      </c>
    </row>
    <row r="17" spans="15:30" x14ac:dyDescent="0.3">
      <c r="AD17" s="107"/>
    </row>
    <row r="18" spans="15:30" x14ac:dyDescent="0.3">
      <c r="AD18" s="107"/>
    </row>
    <row r="19" spans="15:30" x14ac:dyDescent="0.3">
      <c r="AD19" s="107"/>
    </row>
    <row r="20" spans="15:30" x14ac:dyDescent="0.3">
      <c r="AD20" s="107"/>
    </row>
    <row r="21" spans="15:30" x14ac:dyDescent="0.3">
      <c r="AD21" s="107"/>
    </row>
    <row r="22" spans="15:30" x14ac:dyDescent="0.3">
      <c r="O22" s="114"/>
      <c r="AD22" s="107"/>
    </row>
    <row r="23" spans="15:30" x14ac:dyDescent="0.3">
      <c r="O23" s="114"/>
      <c r="AD23" s="107"/>
    </row>
    <row r="24" spans="15:30" x14ac:dyDescent="0.3">
      <c r="O24" s="114"/>
      <c r="AD24" s="107"/>
    </row>
    <row r="25" spans="15:30" x14ac:dyDescent="0.3">
      <c r="O25" s="114"/>
      <c r="AC25" s="107"/>
      <c r="AD25" s="107"/>
    </row>
    <row r="26" spans="15:30" x14ac:dyDescent="0.3">
      <c r="O26" s="114"/>
    </row>
    <row r="27" spans="15:30" x14ac:dyDescent="0.3">
      <c r="O27" s="114"/>
    </row>
    <row r="28" spans="15:30" x14ac:dyDescent="0.3">
      <c r="O28" s="114"/>
    </row>
    <row r="29" spans="15:30" x14ac:dyDescent="0.3">
      <c r="O29" s="114"/>
    </row>
  </sheetData>
  <mergeCells count="19">
    <mergeCell ref="AG2:AH2"/>
    <mergeCell ref="B12:C12"/>
    <mergeCell ref="X13:Y13"/>
    <mergeCell ref="G14:H14"/>
    <mergeCell ref="L16:Q16"/>
    <mergeCell ref="AA15:AB15"/>
    <mergeCell ref="T1:V1"/>
    <mergeCell ref="X1:Z1"/>
    <mergeCell ref="AA1:AB1"/>
    <mergeCell ref="G2:H2"/>
    <mergeCell ref="J2:L2"/>
    <mergeCell ref="N2:O2"/>
    <mergeCell ref="P2:R2"/>
    <mergeCell ref="P1:Q1"/>
    <mergeCell ref="B1:C1"/>
    <mergeCell ref="E1:F1"/>
    <mergeCell ref="G1:H1"/>
    <mergeCell ref="J1:K1"/>
    <mergeCell ref="M1:N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 kari allokáció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Nagy József</dc:creator>
  <cp:lastModifiedBy>Mózer  Krisztina</cp:lastModifiedBy>
  <dcterms:created xsi:type="dcterms:W3CDTF">2020-02-16T21:04:35Z</dcterms:created>
  <dcterms:modified xsi:type="dcterms:W3CDTF">2021-04-19T06:55:06Z</dcterms:modified>
</cp:coreProperties>
</file>